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12" documentId="11_AD2591783202E45326002429D979641A502517C2" xr6:coauthVersionLast="47" xr6:coauthVersionMax="47" xr10:uidLastSave="{620C6CEF-4666-4D08-A4E2-27FE8E323740}"/>
  <bookViews>
    <workbookView xWindow="-103" yWindow="-103" windowWidth="24892" windowHeight="14914" activeTab="1" xr2:uid="{00000000-000D-0000-FFFF-FFFF00000000}"/>
  </bookViews>
  <sheets>
    <sheet name="How to use" sheetId="1" r:id="rId1"/>
    <sheet name="Calculato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2" l="1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D46" i="2" s="1"/>
  <c r="A45" i="2"/>
  <c r="A44" i="2"/>
  <c r="A43" i="2"/>
  <c r="A42" i="2"/>
  <c r="A41" i="2"/>
  <c r="A40" i="2"/>
  <c r="A39" i="2"/>
  <c r="A38" i="2"/>
  <c r="A37" i="2"/>
  <c r="A36" i="2"/>
  <c r="A35" i="2"/>
  <c r="A34" i="2"/>
  <c r="D34" i="2" s="1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E10" i="2"/>
  <c r="E8" i="2"/>
  <c r="E6" i="2"/>
  <c r="E5" i="2"/>
  <c r="B51" i="2" l="1"/>
  <c r="C51" i="2"/>
  <c r="D51" i="2"/>
  <c r="D62" i="2"/>
  <c r="C62" i="2"/>
  <c r="B62" i="2"/>
  <c r="B61" i="2"/>
  <c r="C61" i="2"/>
  <c r="D61" i="2"/>
  <c r="C60" i="2"/>
  <c r="B60" i="2"/>
  <c r="D60" i="2"/>
  <c r="B59" i="2"/>
  <c r="C59" i="2"/>
  <c r="D59" i="2"/>
  <c r="B58" i="2"/>
  <c r="C58" i="2"/>
  <c r="D58" i="2"/>
  <c r="B57" i="2"/>
  <c r="C57" i="2"/>
  <c r="D57" i="2"/>
  <c r="C56" i="2"/>
  <c r="B56" i="2"/>
  <c r="D56" i="2"/>
  <c r="D55" i="2"/>
  <c r="C55" i="2"/>
  <c r="B55" i="2"/>
  <c r="D54" i="2"/>
  <c r="B54" i="2"/>
  <c r="C54" i="2"/>
  <c r="D53" i="2"/>
  <c r="B53" i="2"/>
  <c r="C53" i="2"/>
  <c r="D52" i="2"/>
  <c r="B52" i="2"/>
  <c r="C52" i="2"/>
  <c r="D50" i="2"/>
  <c r="C50" i="2"/>
  <c r="B50" i="2"/>
  <c r="D49" i="2"/>
  <c r="C49" i="2"/>
  <c r="B49" i="2"/>
  <c r="D48" i="2"/>
  <c r="C48" i="2"/>
  <c r="B48" i="2"/>
  <c r="D47" i="2"/>
  <c r="C47" i="2"/>
  <c r="B47" i="2"/>
  <c r="C46" i="2"/>
  <c r="B46" i="2"/>
  <c r="D45" i="2"/>
  <c r="C45" i="2"/>
  <c r="B45" i="2"/>
  <c r="C44" i="2"/>
  <c r="D44" i="2"/>
  <c r="B44" i="2"/>
  <c r="D43" i="2"/>
  <c r="C43" i="2"/>
  <c r="B43" i="2"/>
  <c r="D42" i="2"/>
  <c r="C42" i="2"/>
  <c r="B42" i="2"/>
  <c r="D41" i="2"/>
  <c r="C41" i="2"/>
  <c r="B41" i="2"/>
  <c r="C40" i="2"/>
  <c r="D40" i="2"/>
  <c r="B40" i="2"/>
  <c r="B39" i="2"/>
  <c r="D39" i="2"/>
  <c r="C39" i="2"/>
  <c r="B38" i="2"/>
  <c r="C38" i="2"/>
  <c r="D38" i="2"/>
  <c r="B37" i="2"/>
  <c r="C37" i="2"/>
  <c r="D37" i="2"/>
  <c r="B36" i="2"/>
  <c r="C36" i="2"/>
  <c r="D36" i="2"/>
  <c r="C35" i="2"/>
  <c r="B35" i="2"/>
  <c r="D35" i="2"/>
  <c r="B34" i="2"/>
  <c r="C34" i="2"/>
  <c r="D33" i="2"/>
  <c r="C33" i="2"/>
  <c r="B33" i="2"/>
  <c r="B32" i="2"/>
  <c r="D32" i="2"/>
  <c r="C32" i="2" s="1"/>
  <c r="B31" i="2"/>
  <c r="D31" i="2"/>
  <c r="C31" i="2" s="1"/>
  <c r="D30" i="2"/>
  <c r="C30" i="2" s="1"/>
  <c r="B30" i="2"/>
  <c r="D29" i="2"/>
  <c r="C29" i="2" s="1"/>
  <c r="B29" i="2"/>
  <c r="D28" i="2"/>
  <c r="C28" i="2" s="1"/>
  <c r="B28" i="2"/>
  <c r="D27" i="2"/>
  <c r="B27" i="2"/>
  <c r="D26" i="2"/>
  <c r="B26" i="2"/>
  <c r="D25" i="2"/>
  <c r="B25" i="2"/>
  <c r="D24" i="2"/>
  <c r="B24" i="2"/>
  <c r="D23" i="2"/>
  <c r="B23" i="2"/>
  <c r="B22" i="2"/>
  <c r="D22" i="2"/>
  <c r="C22" i="2"/>
  <c r="D21" i="2"/>
  <c r="B21" i="2"/>
  <c r="D20" i="2"/>
  <c r="B20" i="2"/>
  <c r="B19" i="2"/>
  <c r="D19" i="2"/>
  <c r="C19" i="2" s="1"/>
  <c r="D18" i="2"/>
  <c r="C18" i="2" s="1"/>
  <c r="B18" i="2"/>
  <c r="D17" i="2"/>
  <c r="B17" i="2"/>
  <c r="B16" i="2"/>
  <c r="D16" i="2"/>
  <c r="C16" i="2" s="1"/>
  <c r="B15" i="2"/>
  <c r="B14" i="2"/>
  <c r="D14" i="2"/>
  <c r="C14" i="2" s="1"/>
  <c r="D13" i="2"/>
  <c r="B13" i="2"/>
  <c r="E7" i="2"/>
  <c r="E9" i="2" s="1"/>
  <c r="D15" i="2"/>
  <c r="C15" i="2" s="1"/>
  <c r="C17" i="2" l="1"/>
  <c r="C13" i="2"/>
  <c r="C25" i="2"/>
  <c r="C27" i="2"/>
  <c r="C26" i="2"/>
  <c r="C24" i="2"/>
  <c r="C23" i="2"/>
  <c r="C21" i="2"/>
  <c r="C20" i="2"/>
</calcChain>
</file>

<file path=xl/sharedStrings.xml><?xml version="1.0" encoding="utf-8"?>
<sst xmlns="http://schemas.openxmlformats.org/spreadsheetml/2006/main" count="35" uniqueCount="31">
  <si>
    <t>Compound Interest Calculator</t>
  </si>
  <si>
    <t>Free template from The Margin Sheet · themarginsheet.com</t>
  </si>
  <si>
    <t>Want more? Pro version: Monthly Budget Planner Template in Excel</t>
  </si>
  <si>
    <t>Results</t>
  </si>
  <si>
    <t>Starting amount</t>
  </si>
  <si>
    <t>Effective monthly rate</t>
  </si>
  <si>
    <t>Monthly contribution</t>
  </si>
  <si>
    <t>Effective annual rate (APY)</t>
  </si>
  <si>
    <t>Annual interest rate</t>
  </si>
  <si>
    <t>Final balance</t>
  </si>
  <si>
    <t>Compounding times per year (1, 2, 4, 12 or 365)</t>
  </si>
  <si>
    <t>Total contributed</t>
  </si>
  <si>
    <t>Years</t>
  </si>
  <si>
    <t>Total interest earned</t>
  </si>
  <si>
    <t>Rule of 72: years to double</t>
  </si>
  <si>
    <t>Year</t>
  </si>
  <si>
    <t>Interest earned</t>
  </si>
  <si>
    <t>Balance at year end</t>
  </si>
  <si>
    <t>See how money grows with compound interest and regular monthly contributions, year by year.</t>
  </si>
  <si>
    <t>How to use this template</t>
  </si>
  <si>
    <t>On the Calculator sheet, enter a starting amount, monthly contribution, annual interest rate, compounding frequency and number of years.</t>
  </si>
  <si>
    <t>Read the final balance, total contributed and total interest earned.</t>
  </si>
  <si>
    <t>The yearly table and chart show how interest grows faster over time.</t>
  </si>
  <si>
    <t>Change the rate or years to compare scenarios.</t>
  </si>
  <si>
    <t>Good to know</t>
  </si>
  <si>
    <t>• Contributions are added at the end of each month. Any compounding frequency is converted to an equivalent monthly rate.</t>
  </si>
  <si>
    <t>• Returns are not guaranteed. This is an illustration only and not financial advice.</t>
  </si>
  <si>
    <t>• Yellow cells are inputs. Every other figure is a formula, so do not type over it.</t>
  </si>
  <si>
    <t>• The sample figures are only there to show how the template works. Replace them with your own.</t>
  </si>
  <si>
    <t>• Works in Google Sheets too: File &gt; Import &gt; Upload, then open in Google Sheets.</t>
  </si>
  <si>
    <t>• 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</si>
</sst>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[Red]\-#,##0"/>
    <numFmt numFmtId="165" formatCode="0.0000%"/>
    <numFmt numFmtId="166" formatCode="0.0"/>
  </numFmts>
  <fonts count="10" x14ac:knownFonts="1">
    <font>
      <sz val="11"/>
      <color theme="1"/>
      <name val="Calibri"/>
      <family val="2"/>
      <scheme val="minor"/>
    </font>
    <font>
      <b/>
      <sz val="18"/>
      <color rgb="FF1F314B"/>
      <name val="Calibri"/>
    </font>
    <font>
      <sz val="10"/>
      <color rgb="FF5B6B7F"/>
      <name val="Calibri"/>
    </font>
    <font>
      <b/>
      <u/>
      <sz val="10"/>
      <color rgb="FF0B7A57"/>
      <name val="Calibri"/>
    </font>
    <font>
      <sz val="11"/>
      <color rgb="FF1F314B"/>
      <name val="Calibri"/>
    </font>
    <font>
      <b/>
      <sz val="11"/>
      <color rgb="FF1F314B"/>
      <name val="Calibri"/>
    </font>
    <font>
      <b/>
      <sz val="11"/>
      <color rgb="FFFFFFFF"/>
      <name val="Calibri"/>
    </font>
    <font>
      <sz val="12"/>
      <color rgb="FF334155"/>
      <name val="Calibri"/>
    </font>
    <font>
      <b/>
      <sz val="13"/>
      <color rgb="FF1F314B"/>
      <name val="Calibri"/>
    </font>
    <font>
      <b/>
      <sz val="11"/>
      <color rgb="FF0B7A5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7D6"/>
        <bgColor rgb="FFFFF7D6"/>
      </patternFill>
    </fill>
    <fill>
      <patternFill patternType="solid">
        <fgColor rgb="FFE6F4EE"/>
        <bgColor rgb="FFE6F4EE"/>
      </patternFill>
    </fill>
    <fill>
      <patternFill patternType="solid">
        <fgColor rgb="FF1F314B"/>
        <bgColor rgb="FF1F314B"/>
      </patternFill>
    </fill>
  </fills>
  <borders count="2">
    <border>
      <left/>
      <right/>
      <top/>
      <bottom/>
      <diagonal/>
    </border>
    <border>
      <left style="thin">
        <color rgb="FFD5DCE5"/>
      </left>
      <right style="thin">
        <color rgb="FFD5DCE5"/>
      </right>
      <top style="thin">
        <color rgb="FFD5DCE5"/>
      </top>
      <bottom style="thin">
        <color rgb="FFD5DCE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  <xf numFmtId="0" fontId="3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5" fillId="0" borderId="0" xfId="0" applyFont="1"/>
    <xf numFmtId="0" fontId="4" fillId="0" borderId="0" xfId="0" applyFont="1"/>
    <xf numFmtId="164" fontId="0" fillId="3" borderId="1" xfId="0" applyNumberFormat="1" applyFill="1" applyBorder="1"/>
    <xf numFmtId="165" fontId="5" fillId="4" borderId="1" xfId="0" applyNumberFormat="1" applyFont="1" applyFill="1" applyBorder="1"/>
    <xf numFmtId="10" fontId="5" fillId="4" borderId="1" xfId="0" applyNumberFormat="1" applyFont="1" applyFill="1" applyBorder="1"/>
    <xf numFmtId="10" fontId="0" fillId="3" borderId="1" xfId="0" applyNumberFormat="1" applyFill="1" applyBorder="1"/>
    <xf numFmtId="164" fontId="5" fillId="4" borderId="1" xfId="0" applyNumberFormat="1" applyFont="1" applyFill="1" applyBorder="1"/>
    <xf numFmtId="1" fontId="0" fillId="3" borderId="1" xfId="0" applyNumberFormat="1" applyFill="1" applyBorder="1"/>
    <xf numFmtId="166" fontId="5" fillId="4" borderId="1" xfId="0" applyNumberFormat="1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IN"/>
              <a:t>Contributions vs interest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Calculator!$B$12</c:f>
              <c:strCache>
                <c:ptCount val="1"/>
                <c:pt idx="0">
                  <c:v>Total contributed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Calculator!$A$13:$A$32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Calculator!$B$13:$B$32</c:f>
              <c:numCache>
                <c:formatCode>#,##0;[Red]\-#,##0</c:formatCode>
                <c:ptCount val="20"/>
                <c:pt idx="0">
                  <c:v>13600</c:v>
                </c:pt>
                <c:pt idx="1">
                  <c:v>17200</c:v>
                </c:pt>
                <c:pt idx="2">
                  <c:v>20800</c:v>
                </c:pt>
                <c:pt idx="3">
                  <c:v>24400</c:v>
                </c:pt>
                <c:pt idx="4">
                  <c:v>28000</c:v>
                </c:pt>
                <c:pt idx="5">
                  <c:v>31600</c:v>
                </c:pt>
                <c:pt idx="6">
                  <c:v>35200</c:v>
                </c:pt>
                <c:pt idx="7">
                  <c:v>38800</c:v>
                </c:pt>
                <c:pt idx="8">
                  <c:v>42400</c:v>
                </c:pt>
                <c:pt idx="9">
                  <c:v>46000</c:v>
                </c:pt>
                <c:pt idx="10">
                  <c:v>49600</c:v>
                </c:pt>
                <c:pt idx="11">
                  <c:v>53200</c:v>
                </c:pt>
                <c:pt idx="12">
                  <c:v>56800</c:v>
                </c:pt>
                <c:pt idx="13">
                  <c:v>60400</c:v>
                </c:pt>
                <c:pt idx="14">
                  <c:v>64000</c:v>
                </c:pt>
                <c:pt idx="15">
                  <c:v>67600</c:v>
                </c:pt>
                <c:pt idx="16">
                  <c:v>71200</c:v>
                </c:pt>
                <c:pt idx="17">
                  <c:v>74800</c:v>
                </c:pt>
                <c:pt idx="18">
                  <c:v>78400</c:v>
                </c:pt>
                <c:pt idx="19">
                  <c:v>82000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3-4B67-80A5-B23EC09E08F3}"/>
            </c:ext>
          </c:extLst>
        </c:ser>
        <c:ser>
          <c:idx val="1"/>
          <c:order val="1"/>
          <c:tx>
            <c:strRef>
              <c:f>Calculator!$C$12</c:f>
              <c:strCache>
                <c:ptCount val="1"/>
                <c:pt idx="0">
                  <c:v>Interest earned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Calculator!$A$13:$A$32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cat>
          <c:val>
            <c:numRef>
              <c:f>Calculator!$C$13:$C$32</c:f>
              <c:numCache>
                <c:formatCode>#,##0;[Red]\-#,##0</c:formatCode>
                <c:ptCount val="20"/>
                <c:pt idx="0">
                  <c:v>840.67639545447673</c:v>
                </c:pt>
                <c:pt idx="1">
                  <c:v>2002.3696465927387</c:v>
                </c:pt>
                <c:pt idx="2">
                  <c:v>3508.286087868375</c:v>
                </c:pt>
                <c:pt idx="3">
                  <c:v>5383.3096415290056</c:v>
                </c:pt>
                <c:pt idx="4">
                  <c:v>7654.123090573572</c:v>
                </c:pt>
                <c:pt idx="5">
                  <c:v>10349.33811854144</c:v>
                </c:pt>
                <c:pt idx="6">
                  <c:v>13499.634749888486</c:v>
                </c:pt>
                <c:pt idx="7">
                  <c:v>17137.910870519197</c:v>
                </c:pt>
                <c:pt idx="8">
                  <c:v>21299.442557170063</c:v>
                </c:pt>
                <c:pt idx="9">
                  <c:v>26022.055997017145</c:v>
                </c:pt>
                <c:pt idx="10">
                  <c:v>31346.31183536601</c:v>
                </c:pt>
                <c:pt idx="11">
                  <c:v>37315.702849850815</c:v>
                </c:pt>
                <c:pt idx="12">
                  <c:v>43976.865914517664</c:v>
                </c:pt>
                <c:pt idx="13">
                  <c:v>51379.809286808304</c:v>
                </c:pt>
                <c:pt idx="14">
                  <c:v>59578.156325138436</c:v>
                </c:pt>
                <c:pt idx="15">
                  <c:v>68629.40682483936</c:v>
                </c:pt>
                <c:pt idx="16">
                  <c:v>78595.217246096174</c:v>
                </c:pt>
                <c:pt idx="17">
                  <c:v>89541.701199586008</c:v>
                </c:pt>
                <c:pt idx="18">
                  <c:v>101539.75165424758</c:v>
                </c:pt>
                <c:pt idx="19">
                  <c:v>114665.38643747623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A3-4B67-80A5-B23EC09E0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#,##0;[Red]\-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extgentemplates.com/product/monthly-budget-planner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monthly-budget-planner-template-in-excel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14B"/>
    <pageSetUpPr fitToPage="1"/>
  </sheetPr>
  <dimension ref="A1:C19"/>
  <sheetViews>
    <sheetView showGridLines="0" workbookViewId="0"/>
  </sheetViews>
  <sheetFormatPr defaultRowHeight="14.6" x14ac:dyDescent="0.4"/>
  <cols>
    <col min="1" max="1" width="6" customWidth="1"/>
    <col min="2" max="2" width="110" customWidth="1"/>
  </cols>
  <sheetData>
    <row r="1" spans="1:3" ht="23.15" x14ac:dyDescent="0.6">
      <c r="A1" s="1" t="s">
        <v>0</v>
      </c>
      <c r="B1" s="2"/>
      <c r="C1" s="2"/>
    </row>
    <row r="2" spans="1:3" x14ac:dyDescent="0.4">
      <c r="A2" s="3" t="s">
        <v>1</v>
      </c>
    </row>
    <row r="3" spans="1:3" x14ac:dyDescent="0.4">
      <c r="A3" s="4" t="s">
        <v>2</v>
      </c>
    </row>
    <row r="5" spans="1:3" ht="15.9" x14ac:dyDescent="0.45">
      <c r="A5" s="5" t="s">
        <v>18</v>
      </c>
    </row>
    <row r="7" spans="1:3" ht="16.75" x14ac:dyDescent="0.45">
      <c r="A7" s="6" t="s">
        <v>19</v>
      </c>
    </row>
    <row r="8" spans="1:3" ht="29.15" x14ac:dyDescent="0.4">
      <c r="A8" s="7">
        <v>1</v>
      </c>
      <c r="B8" s="8" t="s">
        <v>20</v>
      </c>
    </row>
    <row r="9" spans="1:3" x14ac:dyDescent="0.4">
      <c r="A9" s="7">
        <v>2</v>
      </c>
      <c r="B9" s="8" t="s">
        <v>21</v>
      </c>
    </row>
    <row r="10" spans="1:3" x14ac:dyDescent="0.4">
      <c r="A10" s="7">
        <v>3</v>
      </c>
      <c r="B10" s="8" t="s">
        <v>22</v>
      </c>
    </row>
    <row r="11" spans="1:3" x14ac:dyDescent="0.4">
      <c r="A11" s="7">
        <v>4</v>
      </c>
      <c r="B11" s="8" t="s">
        <v>23</v>
      </c>
    </row>
    <row r="13" spans="1:3" ht="16.75" x14ac:dyDescent="0.45">
      <c r="A13" s="6" t="s">
        <v>24</v>
      </c>
    </row>
    <row r="14" spans="1:3" x14ac:dyDescent="0.4">
      <c r="B14" s="9" t="s">
        <v>25</v>
      </c>
    </row>
    <row r="15" spans="1:3" x14ac:dyDescent="0.4">
      <c r="B15" s="9" t="s">
        <v>26</v>
      </c>
    </row>
    <row r="16" spans="1:3" x14ac:dyDescent="0.4">
      <c r="B16" s="9" t="s">
        <v>27</v>
      </c>
    </row>
    <row r="17" spans="2:2" x14ac:dyDescent="0.4">
      <c r="B17" s="9" t="s">
        <v>28</v>
      </c>
    </row>
    <row r="18" spans="2:2" x14ac:dyDescent="0.4">
      <c r="B18" s="9" t="s">
        <v>29</v>
      </c>
    </row>
    <row r="19" spans="2:2" x14ac:dyDescent="0.4">
      <c r="B19" s="9" t="s">
        <v>30</v>
      </c>
    </row>
  </sheetData>
  <hyperlinks>
    <hyperlink ref="A2" r:id="rId1" xr:uid="{00000000-0004-0000-0000-000000000000}"/>
    <hyperlink ref="A3" r:id="rId2" xr:uid="{00000000-0004-0000-00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7A57"/>
    <pageSetUpPr fitToPage="1"/>
  </sheetPr>
  <dimension ref="A1:H62"/>
  <sheetViews>
    <sheetView showGridLines="0" tabSelected="1" workbookViewId="0"/>
  </sheetViews>
  <sheetFormatPr defaultRowHeight="14.6" x14ac:dyDescent="0.4"/>
  <cols>
    <col min="1" max="1" width="46" customWidth="1"/>
    <col min="2" max="3" width="18" customWidth="1"/>
    <col min="4" max="4" width="30" customWidth="1"/>
    <col min="5" max="5" width="18" customWidth="1"/>
  </cols>
  <sheetData>
    <row r="1" spans="1:8" ht="23.15" x14ac:dyDescent="0.6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4">
      <c r="A2" s="3" t="s">
        <v>1</v>
      </c>
    </row>
    <row r="3" spans="1:8" x14ac:dyDescent="0.4">
      <c r="A3" s="4" t="s">
        <v>2</v>
      </c>
    </row>
    <row r="4" spans="1:8" x14ac:dyDescent="0.4">
      <c r="D4" s="10" t="s">
        <v>3</v>
      </c>
    </row>
    <row r="5" spans="1:8" x14ac:dyDescent="0.4">
      <c r="A5" s="11" t="s">
        <v>4</v>
      </c>
      <c r="B5" s="12">
        <v>10000</v>
      </c>
      <c r="D5" s="11" t="s">
        <v>5</v>
      </c>
      <c r="E5" s="13">
        <f>(1+B7/B8)^(B8/12)-1</f>
        <v>5.833333333333357E-3</v>
      </c>
    </row>
    <row r="6" spans="1:8" x14ac:dyDescent="0.4">
      <c r="A6" s="11" t="s">
        <v>6</v>
      </c>
      <c r="B6" s="12">
        <v>300</v>
      </c>
      <c r="D6" s="11" t="s">
        <v>7</v>
      </c>
      <c r="E6" s="14">
        <f>(1+B7/B8)^B8-1</f>
        <v>7.2290080856235894E-2</v>
      </c>
    </row>
    <row r="7" spans="1:8" x14ac:dyDescent="0.4">
      <c r="A7" s="11" t="s">
        <v>8</v>
      </c>
      <c r="B7" s="15">
        <v>7.0000000000000007E-2</v>
      </c>
      <c r="D7" s="11" t="s">
        <v>9</v>
      </c>
      <c r="E7" s="16">
        <f>FV(E5,B9*12,-B6,-B5)</f>
        <v>196665.38643747623</v>
      </c>
    </row>
    <row r="8" spans="1:8" x14ac:dyDescent="0.4">
      <c r="A8" s="11" t="s">
        <v>10</v>
      </c>
      <c r="B8" s="17">
        <v>12</v>
      </c>
      <c r="D8" s="11" t="s">
        <v>11</v>
      </c>
      <c r="E8" s="16">
        <f>B5+B6*12*B9</f>
        <v>82000</v>
      </c>
    </row>
    <row r="9" spans="1:8" x14ac:dyDescent="0.4">
      <c r="A9" s="11" t="s">
        <v>12</v>
      </c>
      <c r="B9" s="17">
        <v>20</v>
      </c>
      <c r="D9" s="11" t="s">
        <v>13</v>
      </c>
      <c r="E9" s="16">
        <f>E7-E8</f>
        <v>114665.38643747623</v>
      </c>
    </row>
    <row r="10" spans="1:8" x14ac:dyDescent="0.4">
      <c r="D10" s="11" t="s">
        <v>14</v>
      </c>
      <c r="E10" s="18">
        <f>IF(B7&gt;0,72/(B7*100),"")</f>
        <v>10.285714285714285</v>
      </c>
    </row>
    <row r="12" spans="1:8" ht="30" customHeight="1" x14ac:dyDescent="0.4">
      <c r="A12" s="19" t="s">
        <v>15</v>
      </c>
      <c r="B12" s="19" t="s">
        <v>11</v>
      </c>
      <c r="C12" s="19" t="s">
        <v>16</v>
      </c>
      <c r="D12" s="19" t="s">
        <v>17</v>
      </c>
    </row>
    <row r="13" spans="1:8" x14ac:dyDescent="0.4">
      <c r="A13" s="20">
        <f>IF(1&gt;$B$9,"",1)</f>
        <v>1</v>
      </c>
      <c r="B13" s="21">
        <f t="shared" ref="B13:B44" si="0">IF(A13="","",$B$5+$B$6*12*A13)</f>
        <v>13600</v>
      </c>
      <c r="C13" s="21">
        <f t="shared" ref="C13:C44" si="1">IF(A13="","",D13-B13)</f>
        <v>840.67639545447673</v>
      </c>
      <c r="D13" s="21">
        <f t="shared" ref="D13:D44" si="2">IF(A13="","",FV($E$5,12*A13,-$B$6,-$B$5))</f>
        <v>14440.676395454477</v>
      </c>
    </row>
    <row r="14" spans="1:8" x14ac:dyDescent="0.4">
      <c r="A14" s="20">
        <f>IF(2&gt;$B$9,"",2)</f>
        <v>2</v>
      </c>
      <c r="B14" s="21">
        <f t="shared" si="0"/>
        <v>17200</v>
      </c>
      <c r="C14" s="21">
        <f t="shared" si="1"/>
        <v>2002.3696465927387</v>
      </c>
      <c r="D14" s="21">
        <f t="shared" si="2"/>
        <v>19202.369646592739</v>
      </c>
    </row>
    <row r="15" spans="1:8" x14ac:dyDescent="0.4">
      <c r="A15" s="20">
        <f>IF(3&gt;$B$9,"",3)</f>
        <v>3</v>
      </c>
      <c r="B15" s="21">
        <f t="shared" si="0"/>
        <v>20800</v>
      </c>
      <c r="C15" s="21">
        <f t="shared" si="1"/>
        <v>3508.286087868375</v>
      </c>
      <c r="D15" s="21">
        <f t="shared" si="2"/>
        <v>24308.286087868375</v>
      </c>
    </row>
    <row r="16" spans="1:8" x14ac:dyDescent="0.4">
      <c r="A16" s="20">
        <f>IF(4&gt;$B$9,"",4)</f>
        <v>4</v>
      </c>
      <c r="B16" s="21">
        <f t="shared" si="0"/>
        <v>24400</v>
      </c>
      <c r="C16" s="21">
        <f t="shared" si="1"/>
        <v>5383.3096415290056</v>
      </c>
      <c r="D16" s="21">
        <f t="shared" si="2"/>
        <v>29783.309641529006</v>
      </c>
    </row>
    <row r="17" spans="1:4" x14ac:dyDescent="0.4">
      <c r="A17" s="20">
        <f>IF(5&gt;$B$9,"",5)</f>
        <v>5</v>
      </c>
      <c r="B17" s="21">
        <f t="shared" si="0"/>
        <v>28000</v>
      </c>
      <c r="C17" s="21">
        <f t="shared" si="1"/>
        <v>7654.123090573572</v>
      </c>
      <c r="D17" s="21">
        <f t="shared" si="2"/>
        <v>35654.123090573572</v>
      </c>
    </row>
    <row r="18" spans="1:4" x14ac:dyDescent="0.4">
      <c r="A18" s="20">
        <f>IF(6&gt;$B$9,"",6)</f>
        <v>6</v>
      </c>
      <c r="B18" s="21">
        <f t="shared" si="0"/>
        <v>31600</v>
      </c>
      <c r="C18" s="21">
        <f t="shared" si="1"/>
        <v>10349.33811854144</v>
      </c>
      <c r="D18" s="21">
        <f t="shared" si="2"/>
        <v>41949.33811854144</v>
      </c>
    </row>
    <row r="19" spans="1:4" x14ac:dyDescent="0.4">
      <c r="A19" s="20">
        <f>IF(7&gt;$B$9,"",7)</f>
        <v>7</v>
      </c>
      <c r="B19" s="21">
        <f t="shared" si="0"/>
        <v>35200</v>
      </c>
      <c r="C19" s="21">
        <f t="shared" si="1"/>
        <v>13499.634749888486</v>
      </c>
      <c r="D19" s="21">
        <f t="shared" si="2"/>
        <v>48699.634749888486</v>
      </c>
    </row>
    <row r="20" spans="1:4" x14ac:dyDescent="0.4">
      <c r="A20" s="20">
        <f>IF(8&gt;$B$9,"",8)</f>
        <v>8</v>
      </c>
      <c r="B20" s="21">
        <f t="shared" si="0"/>
        <v>38800</v>
      </c>
      <c r="C20" s="21">
        <f t="shared" si="1"/>
        <v>17137.910870519197</v>
      </c>
      <c r="D20" s="21">
        <f t="shared" si="2"/>
        <v>55937.910870519197</v>
      </c>
    </row>
    <row r="21" spans="1:4" x14ac:dyDescent="0.4">
      <c r="A21" s="20">
        <f>IF(9&gt;$B$9,"",9)</f>
        <v>9</v>
      </c>
      <c r="B21" s="21">
        <f t="shared" si="0"/>
        <v>42400</v>
      </c>
      <c r="C21" s="21">
        <f t="shared" si="1"/>
        <v>21299.442557170063</v>
      </c>
      <c r="D21" s="21">
        <f t="shared" si="2"/>
        <v>63699.442557170063</v>
      </c>
    </row>
    <row r="22" spans="1:4" x14ac:dyDescent="0.4">
      <c r="A22" s="20">
        <f>IF(10&gt;$B$9,"",10)</f>
        <v>10</v>
      </c>
      <c r="B22" s="21">
        <f t="shared" si="0"/>
        <v>46000</v>
      </c>
      <c r="C22" s="21">
        <f t="shared" si="1"/>
        <v>26022.055997017145</v>
      </c>
      <c r="D22" s="21">
        <f t="shared" si="2"/>
        <v>72022.055997017145</v>
      </c>
    </row>
    <row r="23" spans="1:4" x14ac:dyDescent="0.4">
      <c r="A23" s="20">
        <f>IF(11&gt;$B$9,"",11)</f>
        <v>11</v>
      </c>
      <c r="B23" s="21">
        <f t="shared" si="0"/>
        <v>49600</v>
      </c>
      <c r="C23" s="21">
        <f t="shared" si="1"/>
        <v>31346.31183536601</v>
      </c>
      <c r="D23" s="21">
        <f t="shared" si="2"/>
        <v>80946.31183536601</v>
      </c>
    </row>
    <row r="24" spans="1:4" x14ac:dyDescent="0.4">
      <c r="A24" s="20">
        <f>IF(12&gt;$B$9,"",12)</f>
        <v>12</v>
      </c>
      <c r="B24" s="21">
        <f t="shared" si="0"/>
        <v>53200</v>
      </c>
      <c r="C24" s="21">
        <f t="shared" si="1"/>
        <v>37315.702849850815</v>
      </c>
      <c r="D24" s="21">
        <f t="shared" si="2"/>
        <v>90515.702849850815</v>
      </c>
    </row>
    <row r="25" spans="1:4" x14ac:dyDescent="0.4">
      <c r="A25" s="20">
        <f>IF(13&gt;$B$9,"",13)</f>
        <v>13</v>
      </c>
      <c r="B25" s="21">
        <f t="shared" si="0"/>
        <v>56800</v>
      </c>
      <c r="C25" s="21">
        <f t="shared" si="1"/>
        <v>43976.865914517664</v>
      </c>
      <c r="D25" s="21">
        <f t="shared" si="2"/>
        <v>100776.86591451766</v>
      </c>
    </row>
    <row r="26" spans="1:4" x14ac:dyDescent="0.4">
      <c r="A26" s="20">
        <f>IF(14&gt;$B$9,"",14)</f>
        <v>14</v>
      </c>
      <c r="B26" s="21">
        <f t="shared" si="0"/>
        <v>60400</v>
      </c>
      <c r="C26" s="21">
        <f t="shared" si="1"/>
        <v>51379.809286808304</v>
      </c>
      <c r="D26" s="21">
        <f t="shared" si="2"/>
        <v>111779.8092868083</v>
      </c>
    </row>
    <row r="27" spans="1:4" x14ac:dyDescent="0.4">
      <c r="A27" s="20">
        <f>IF(15&gt;$B$9,"",15)</f>
        <v>15</v>
      </c>
      <c r="B27" s="21">
        <f t="shared" si="0"/>
        <v>64000</v>
      </c>
      <c r="C27" s="21">
        <f t="shared" si="1"/>
        <v>59578.156325138436</v>
      </c>
      <c r="D27" s="21">
        <f t="shared" si="2"/>
        <v>123578.15632513844</v>
      </c>
    </row>
    <row r="28" spans="1:4" x14ac:dyDescent="0.4">
      <c r="A28" s="20">
        <f>IF(16&gt;$B$9,"",16)</f>
        <v>16</v>
      </c>
      <c r="B28" s="21">
        <f t="shared" si="0"/>
        <v>67600</v>
      </c>
      <c r="C28" s="21">
        <f t="shared" si="1"/>
        <v>68629.40682483936</v>
      </c>
      <c r="D28" s="21">
        <f t="shared" si="2"/>
        <v>136229.40682483936</v>
      </c>
    </row>
    <row r="29" spans="1:4" x14ac:dyDescent="0.4">
      <c r="A29" s="20">
        <f>IF(17&gt;$B$9,"",17)</f>
        <v>17</v>
      </c>
      <c r="B29" s="21">
        <f t="shared" si="0"/>
        <v>71200</v>
      </c>
      <c r="C29" s="21">
        <f t="shared" si="1"/>
        <v>78595.217246096174</v>
      </c>
      <c r="D29" s="21">
        <f t="shared" si="2"/>
        <v>149795.21724609617</v>
      </c>
    </row>
    <row r="30" spans="1:4" x14ac:dyDescent="0.4">
      <c r="A30" s="20">
        <f>IF(18&gt;$B$9,"",18)</f>
        <v>18</v>
      </c>
      <c r="B30" s="21">
        <f t="shared" si="0"/>
        <v>74800</v>
      </c>
      <c r="C30" s="21">
        <f t="shared" si="1"/>
        <v>89541.701199586008</v>
      </c>
      <c r="D30" s="21">
        <f t="shared" si="2"/>
        <v>164341.70119958601</v>
      </c>
    </row>
    <row r="31" spans="1:4" x14ac:dyDescent="0.4">
      <c r="A31" s="20">
        <f>IF(19&gt;$B$9,"",19)</f>
        <v>19</v>
      </c>
      <c r="B31" s="21">
        <f t="shared" si="0"/>
        <v>78400</v>
      </c>
      <c r="C31" s="21">
        <f t="shared" si="1"/>
        <v>101539.75165424758</v>
      </c>
      <c r="D31" s="21">
        <f t="shared" si="2"/>
        <v>179939.75165424758</v>
      </c>
    </row>
    <row r="32" spans="1:4" x14ac:dyDescent="0.4">
      <c r="A32" s="20">
        <f>IF(20&gt;$B$9,"",20)</f>
        <v>20</v>
      </c>
      <c r="B32" s="21">
        <f t="shared" si="0"/>
        <v>82000</v>
      </c>
      <c r="C32" s="21">
        <f t="shared" si="1"/>
        <v>114665.38643747623</v>
      </c>
      <c r="D32" s="21">
        <f t="shared" si="2"/>
        <v>196665.38643747623</v>
      </c>
    </row>
    <row r="33" spans="1:4" x14ac:dyDescent="0.4">
      <c r="A33" s="20" t="str">
        <f>IF(21&gt;$B$9,"",21)</f>
        <v/>
      </c>
      <c r="B33" s="21" t="str">
        <f t="shared" si="0"/>
        <v/>
      </c>
      <c r="C33" s="21" t="str">
        <f t="shared" si="1"/>
        <v/>
      </c>
      <c r="D33" s="21" t="str">
        <f t="shared" si="2"/>
        <v/>
      </c>
    </row>
    <row r="34" spans="1:4" x14ac:dyDescent="0.4">
      <c r="A34" s="20" t="str">
        <f>IF(22&gt;$B$9,"",22)</f>
        <v/>
      </c>
      <c r="B34" s="21" t="str">
        <f t="shared" si="0"/>
        <v/>
      </c>
      <c r="C34" s="21" t="str">
        <f t="shared" si="1"/>
        <v/>
      </c>
      <c r="D34" s="21" t="str">
        <f t="shared" si="2"/>
        <v/>
      </c>
    </row>
    <row r="35" spans="1:4" x14ac:dyDescent="0.4">
      <c r="A35" s="20" t="str">
        <f>IF(23&gt;$B$9,"",23)</f>
        <v/>
      </c>
      <c r="B35" s="21" t="str">
        <f t="shared" si="0"/>
        <v/>
      </c>
      <c r="C35" s="21" t="str">
        <f t="shared" si="1"/>
        <v/>
      </c>
      <c r="D35" s="21" t="str">
        <f t="shared" si="2"/>
        <v/>
      </c>
    </row>
    <row r="36" spans="1:4" x14ac:dyDescent="0.4">
      <c r="A36" s="20" t="str">
        <f>IF(24&gt;$B$9,"",24)</f>
        <v/>
      </c>
      <c r="B36" s="21" t="str">
        <f t="shared" si="0"/>
        <v/>
      </c>
      <c r="C36" s="21" t="str">
        <f t="shared" si="1"/>
        <v/>
      </c>
      <c r="D36" s="21" t="str">
        <f t="shared" si="2"/>
        <v/>
      </c>
    </row>
    <row r="37" spans="1:4" x14ac:dyDescent="0.4">
      <c r="A37" s="20" t="str">
        <f>IF(25&gt;$B$9,"",25)</f>
        <v/>
      </c>
      <c r="B37" s="21" t="str">
        <f t="shared" si="0"/>
        <v/>
      </c>
      <c r="C37" s="21" t="str">
        <f t="shared" si="1"/>
        <v/>
      </c>
      <c r="D37" s="21" t="str">
        <f t="shared" si="2"/>
        <v/>
      </c>
    </row>
    <row r="38" spans="1:4" x14ac:dyDescent="0.4">
      <c r="A38" s="20" t="str">
        <f>IF(26&gt;$B$9,"",26)</f>
        <v/>
      </c>
      <c r="B38" s="21" t="str">
        <f t="shared" si="0"/>
        <v/>
      </c>
      <c r="C38" s="21" t="str">
        <f t="shared" si="1"/>
        <v/>
      </c>
      <c r="D38" s="21" t="str">
        <f t="shared" si="2"/>
        <v/>
      </c>
    </row>
    <row r="39" spans="1:4" x14ac:dyDescent="0.4">
      <c r="A39" s="20" t="str">
        <f>IF(27&gt;$B$9,"",27)</f>
        <v/>
      </c>
      <c r="B39" s="21" t="str">
        <f t="shared" si="0"/>
        <v/>
      </c>
      <c r="C39" s="21" t="str">
        <f t="shared" si="1"/>
        <v/>
      </c>
      <c r="D39" s="21" t="str">
        <f t="shared" si="2"/>
        <v/>
      </c>
    </row>
    <row r="40" spans="1:4" x14ac:dyDescent="0.4">
      <c r="A40" s="20" t="str">
        <f>IF(28&gt;$B$9,"",28)</f>
        <v/>
      </c>
      <c r="B40" s="21" t="str">
        <f t="shared" si="0"/>
        <v/>
      </c>
      <c r="C40" s="21" t="str">
        <f t="shared" si="1"/>
        <v/>
      </c>
      <c r="D40" s="21" t="str">
        <f t="shared" si="2"/>
        <v/>
      </c>
    </row>
    <row r="41" spans="1:4" x14ac:dyDescent="0.4">
      <c r="A41" s="20" t="str">
        <f>IF(29&gt;$B$9,"",29)</f>
        <v/>
      </c>
      <c r="B41" s="21" t="str">
        <f t="shared" si="0"/>
        <v/>
      </c>
      <c r="C41" s="21" t="str">
        <f t="shared" si="1"/>
        <v/>
      </c>
      <c r="D41" s="21" t="str">
        <f t="shared" si="2"/>
        <v/>
      </c>
    </row>
    <row r="42" spans="1:4" x14ac:dyDescent="0.4">
      <c r="A42" s="20" t="str">
        <f>IF(30&gt;$B$9,"",30)</f>
        <v/>
      </c>
      <c r="B42" s="21" t="str">
        <f t="shared" si="0"/>
        <v/>
      </c>
      <c r="C42" s="21" t="str">
        <f t="shared" si="1"/>
        <v/>
      </c>
      <c r="D42" s="21" t="str">
        <f t="shared" si="2"/>
        <v/>
      </c>
    </row>
    <row r="43" spans="1:4" x14ac:dyDescent="0.4">
      <c r="A43" s="20" t="str">
        <f>IF(31&gt;$B$9,"",31)</f>
        <v/>
      </c>
      <c r="B43" s="21" t="str">
        <f t="shared" si="0"/>
        <v/>
      </c>
      <c r="C43" s="21" t="str">
        <f t="shared" si="1"/>
        <v/>
      </c>
      <c r="D43" s="21" t="str">
        <f t="shared" si="2"/>
        <v/>
      </c>
    </row>
    <row r="44" spans="1:4" x14ac:dyDescent="0.4">
      <c r="A44" s="20" t="str">
        <f>IF(32&gt;$B$9,"",32)</f>
        <v/>
      </c>
      <c r="B44" s="21" t="str">
        <f t="shared" si="0"/>
        <v/>
      </c>
      <c r="C44" s="21" t="str">
        <f t="shared" si="1"/>
        <v/>
      </c>
      <c r="D44" s="21" t="str">
        <f t="shared" si="2"/>
        <v/>
      </c>
    </row>
    <row r="45" spans="1:4" x14ac:dyDescent="0.4">
      <c r="A45" s="20" t="str">
        <f>IF(33&gt;$B$9,"",33)</f>
        <v/>
      </c>
      <c r="B45" s="21" t="str">
        <f t="shared" ref="B45:B62" si="3">IF(A45="","",$B$5+$B$6*12*A45)</f>
        <v/>
      </c>
      <c r="C45" s="21" t="str">
        <f t="shared" ref="C45:C62" si="4">IF(A45="","",D45-B45)</f>
        <v/>
      </c>
      <c r="D45" s="21" t="str">
        <f t="shared" ref="D45:D62" si="5">IF(A45="","",FV($E$5,12*A45,-$B$6,-$B$5))</f>
        <v/>
      </c>
    </row>
    <row r="46" spans="1:4" x14ac:dyDescent="0.4">
      <c r="A46" s="20" t="str">
        <f>IF(34&gt;$B$9,"",34)</f>
        <v/>
      </c>
      <c r="B46" s="21" t="str">
        <f t="shared" si="3"/>
        <v/>
      </c>
      <c r="C46" s="21" t="str">
        <f t="shared" si="4"/>
        <v/>
      </c>
      <c r="D46" s="21" t="str">
        <f t="shared" si="5"/>
        <v/>
      </c>
    </row>
    <row r="47" spans="1:4" x14ac:dyDescent="0.4">
      <c r="A47" s="20" t="str">
        <f>IF(35&gt;$B$9,"",35)</f>
        <v/>
      </c>
      <c r="B47" s="21" t="str">
        <f t="shared" si="3"/>
        <v/>
      </c>
      <c r="C47" s="21" t="str">
        <f t="shared" si="4"/>
        <v/>
      </c>
      <c r="D47" s="21" t="str">
        <f t="shared" si="5"/>
        <v/>
      </c>
    </row>
    <row r="48" spans="1:4" x14ac:dyDescent="0.4">
      <c r="A48" s="20" t="str">
        <f>IF(36&gt;$B$9,"",36)</f>
        <v/>
      </c>
      <c r="B48" s="21" t="str">
        <f t="shared" si="3"/>
        <v/>
      </c>
      <c r="C48" s="21" t="str">
        <f t="shared" si="4"/>
        <v/>
      </c>
      <c r="D48" s="21" t="str">
        <f t="shared" si="5"/>
        <v/>
      </c>
    </row>
    <row r="49" spans="1:4" x14ac:dyDescent="0.4">
      <c r="A49" s="20" t="str">
        <f>IF(37&gt;$B$9,"",37)</f>
        <v/>
      </c>
      <c r="B49" s="21" t="str">
        <f t="shared" si="3"/>
        <v/>
      </c>
      <c r="C49" s="21" t="str">
        <f t="shared" si="4"/>
        <v/>
      </c>
      <c r="D49" s="21" t="str">
        <f t="shared" si="5"/>
        <v/>
      </c>
    </row>
    <row r="50" spans="1:4" x14ac:dyDescent="0.4">
      <c r="A50" s="20" t="str">
        <f>IF(38&gt;$B$9,"",38)</f>
        <v/>
      </c>
      <c r="B50" s="21" t="str">
        <f t="shared" si="3"/>
        <v/>
      </c>
      <c r="C50" s="21" t="str">
        <f t="shared" si="4"/>
        <v/>
      </c>
      <c r="D50" s="21" t="str">
        <f t="shared" si="5"/>
        <v/>
      </c>
    </row>
    <row r="51" spans="1:4" x14ac:dyDescent="0.4">
      <c r="A51" s="20" t="str">
        <f>IF(39&gt;$B$9,"",39)</f>
        <v/>
      </c>
      <c r="B51" s="21" t="str">
        <f t="shared" si="3"/>
        <v/>
      </c>
      <c r="C51" s="21" t="str">
        <f t="shared" si="4"/>
        <v/>
      </c>
      <c r="D51" s="21" t="str">
        <f t="shared" si="5"/>
        <v/>
      </c>
    </row>
    <row r="52" spans="1:4" x14ac:dyDescent="0.4">
      <c r="A52" s="20" t="str">
        <f>IF(40&gt;$B$9,"",40)</f>
        <v/>
      </c>
      <c r="B52" s="21" t="str">
        <f t="shared" si="3"/>
        <v/>
      </c>
      <c r="C52" s="21" t="str">
        <f t="shared" si="4"/>
        <v/>
      </c>
      <c r="D52" s="21" t="str">
        <f t="shared" si="5"/>
        <v/>
      </c>
    </row>
    <row r="53" spans="1:4" x14ac:dyDescent="0.4">
      <c r="A53" s="20" t="str">
        <f>IF(41&gt;$B$9,"",41)</f>
        <v/>
      </c>
      <c r="B53" s="21" t="str">
        <f t="shared" si="3"/>
        <v/>
      </c>
      <c r="C53" s="21" t="str">
        <f t="shared" si="4"/>
        <v/>
      </c>
      <c r="D53" s="21" t="str">
        <f t="shared" si="5"/>
        <v/>
      </c>
    </row>
    <row r="54" spans="1:4" x14ac:dyDescent="0.4">
      <c r="A54" s="20" t="str">
        <f>IF(42&gt;$B$9,"",42)</f>
        <v/>
      </c>
      <c r="B54" s="21" t="str">
        <f t="shared" si="3"/>
        <v/>
      </c>
      <c r="C54" s="21" t="str">
        <f t="shared" si="4"/>
        <v/>
      </c>
      <c r="D54" s="21" t="str">
        <f t="shared" si="5"/>
        <v/>
      </c>
    </row>
    <row r="55" spans="1:4" x14ac:dyDescent="0.4">
      <c r="A55" s="20" t="str">
        <f>IF(43&gt;$B$9,"",43)</f>
        <v/>
      </c>
      <c r="B55" s="21" t="str">
        <f t="shared" si="3"/>
        <v/>
      </c>
      <c r="C55" s="21" t="str">
        <f t="shared" si="4"/>
        <v/>
      </c>
      <c r="D55" s="21" t="str">
        <f t="shared" si="5"/>
        <v/>
      </c>
    </row>
    <row r="56" spans="1:4" x14ac:dyDescent="0.4">
      <c r="A56" s="20" t="str">
        <f>IF(44&gt;$B$9,"",44)</f>
        <v/>
      </c>
      <c r="B56" s="21" t="str">
        <f t="shared" si="3"/>
        <v/>
      </c>
      <c r="C56" s="21" t="str">
        <f t="shared" si="4"/>
        <v/>
      </c>
      <c r="D56" s="21" t="str">
        <f t="shared" si="5"/>
        <v/>
      </c>
    </row>
    <row r="57" spans="1:4" x14ac:dyDescent="0.4">
      <c r="A57" s="20" t="str">
        <f>IF(45&gt;$B$9,"",45)</f>
        <v/>
      </c>
      <c r="B57" s="21" t="str">
        <f t="shared" si="3"/>
        <v/>
      </c>
      <c r="C57" s="21" t="str">
        <f t="shared" si="4"/>
        <v/>
      </c>
      <c r="D57" s="21" t="str">
        <f t="shared" si="5"/>
        <v/>
      </c>
    </row>
    <row r="58" spans="1:4" x14ac:dyDescent="0.4">
      <c r="A58" s="20" t="str">
        <f>IF(46&gt;$B$9,"",46)</f>
        <v/>
      </c>
      <c r="B58" s="21" t="str">
        <f t="shared" si="3"/>
        <v/>
      </c>
      <c r="C58" s="21" t="str">
        <f t="shared" si="4"/>
        <v/>
      </c>
      <c r="D58" s="21" t="str">
        <f t="shared" si="5"/>
        <v/>
      </c>
    </row>
    <row r="59" spans="1:4" x14ac:dyDescent="0.4">
      <c r="A59" s="20" t="str">
        <f>IF(47&gt;$B$9,"",47)</f>
        <v/>
      </c>
      <c r="B59" s="21" t="str">
        <f t="shared" si="3"/>
        <v/>
      </c>
      <c r="C59" s="21" t="str">
        <f t="shared" si="4"/>
        <v/>
      </c>
      <c r="D59" s="21" t="str">
        <f t="shared" si="5"/>
        <v/>
      </c>
    </row>
    <row r="60" spans="1:4" x14ac:dyDescent="0.4">
      <c r="A60" s="20" t="str">
        <f>IF(48&gt;$B$9,"",48)</f>
        <v/>
      </c>
      <c r="B60" s="21" t="str">
        <f t="shared" si="3"/>
        <v/>
      </c>
      <c r="C60" s="21" t="str">
        <f t="shared" si="4"/>
        <v/>
      </c>
      <c r="D60" s="21" t="str">
        <f t="shared" si="5"/>
        <v/>
      </c>
    </row>
    <row r="61" spans="1:4" x14ac:dyDescent="0.4">
      <c r="A61" s="20" t="str">
        <f>IF(49&gt;$B$9,"",49)</f>
        <v/>
      </c>
      <c r="B61" s="21" t="str">
        <f t="shared" si="3"/>
        <v/>
      </c>
      <c r="C61" s="21" t="str">
        <f t="shared" si="4"/>
        <v/>
      </c>
      <c r="D61" s="21" t="str">
        <f t="shared" si="5"/>
        <v/>
      </c>
    </row>
    <row r="62" spans="1:4" x14ac:dyDescent="0.4">
      <c r="A62" s="20" t="str">
        <f>IF(50&gt;$B$9,"",50)</f>
        <v/>
      </c>
      <c r="B62" s="21" t="str">
        <f t="shared" si="3"/>
        <v/>
      </c>
      <c r="C62" s="21" t="str">
        <f t="shared" si="4"/>
        <v/>
      </c>
      <c r="D62" s="21" t="str">
        <f t="shared" si="5"/>
        <v/>
      </c>
    </row>
  </sheetData>
  <dataValidations count="1">
    <dataValidation type="list" sqref="B8" xr:uid="{00000000-0002-0000-0100-000000000000}">
      <formula1>"1,2,4,12,365"</formula1>
    </dataValidation>
  </dataValidations>
  <hyperlinks>
    <hyperlink ref="A2" r:id="rId1" xr:uid="{00000000-0004-0000-0100-000000000000}"/>
    <hyperlink ref="A3" r:id="rId2" xr:uid="{00000000-0004-0000-01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f697b9-b6e7-413b-9562-1b35d7290753" xsi:nil="true"/>
    <lcf76f155ced4ddcb4097134ff3c332f xmlns="767a07e8-7ffc-4027-9e93-3aa3f75b4b6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0898B2-9E9B-4861-8EA5-62566FCD2A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7a07e8-7ffc-4027-9e93-3aa3f75b4b66"/>
    <ds:schemaRef ds:uri="78f697b9-b6e7-413b-9562-1b35d72907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02AA0B-C522-419C-A69F-242D6717D345}">
  <ds:schemaRefs>
    <ds:schemaRef ds:uri="http://schemas.microsoft.com/office/2006/metadata/properties"/>
    <ds:schemaRef ds:uri="http://schemas.microsoft.com/office/infopath/2007/PartnerControls"/>
    <ds:schemaRef ds:uri="78f697b9-b6e7-413b-9562-1b35d7290753"/>
    <ds:schemaRef ds:uri="767a07e8-7ffc-4027-9e93-3aa3f75b4b66"/>
  </ds:schemaRefs>
</ds:datastoreItem>
</file>

<file path=customXml/itemProps3.xml><?xml version="1.0" encoding="utf-8"?>
<ds:datastoreItem xmlns:ds="http://schemas.openxmlformats.org/officeDocument/2006/customXml" ds:itemID="{56FEC6F6-7981-4066-A919-1B4DC1ACAA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2026-11-04T07:20:04Z</dcterms:created>
  <dcterms:modified xsi:type="dcterms:W3CDTF">2026-11-04T09:16:34Z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0x010100EF4302C947D7934B97E1868124048385</vt:lpwstr>
  </property>
  <property fmtid="{D5CDD505-2E9C-101B-9397-08002B2CF9AE}" pid="3" name="MediaServiceImageTags">
    <vt:lpwstr/>
  </property>
</Properties>
</file>